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h2" sheetId="1" r:id="rId1"/>
  </sheets>
  <definedNames/>
  <calcPr fullCalcOnLoad="1"/>
</workbook>
</file>

<file path=xl/sharedStrings.xml><?xml version="1.0" encoding="utf-8"?>
<sst xmlns="http://schemas.openxmlformats.org/spreadsheetml/2006/main" count="255" uniqueCount="184">
  <si>
    <t>#1</t>
  </si>
  <si>
    <t>SGDUSD</t>
  </si>
  <si>
    <t xml:space="preserve">SGD </t>
  </si>
  <si>
    <t>USD</t>
  </si>
  <si>
    <t>#2</t>
  </si>
  <si>
    <t>#3</t>
  </si>
  <si>
    <t>US bank's quotes</t>
  </si>
  <si>
    <t>USDJPY</t>
  </si>
  <si>
    <t>Spread</t>
  </si>
  <si>
    <t>#4</t>
  </si>
  <si>
    <t>Bid</t>
  </si>
  <si>
    <t>Ask</t>
  </si>
  <si>
    <t>USDHKD</t>
  </si>
  <si>
    <t>SGDHKD</t>
  </si>
  <si>
    <t>EURHKD</t>
  </si>
  <si>
    <t>JPYHKD</t>
  </si>
  <si>
    <t>Spread%</t>
  </si>
  <si>
    <t>Least</t>
  </si>
  <si>
    <t>Most</t>
  </si>
  <si>
    <t>#5</t>
  </si>
  <si>
    <t>HKDUSD</t>
  </si>
  <si>
    <t>HKDSGD</t>
  </si>
  <si>
    <t>HKDEUR</t>
  </si>
  <si>
    <t>JPY appears most expensive to trade from the Hong Kong perspective</t>
  </si>
  <si>
    <t>#6</t>
  </si>
  <si>
    <t>A</t>
  </si>
  <si>
    <t>B</t>
  </si>
  <si>
    <t>C</t>
  </si>
  <si>
    <t>EURUSD</t>
  </si>
  <si>
    <t>USDEUR</t>
  </si>
  <si>
    <t>Proceeds</t>
  </si>
  <si>
    <t>#7</t>
  </si>
  <si>
    <t>Use data from above, bank A, convert EUR 500,000</t>
  </si>
  <si>
    <t>w/o costs</t>
  </si>
  <si>
    <t>T-cost</t>
  </si>
  <si>
    <t>T-cost%</t>
  </si>
  <si>
    <t>#8</t>
  </si>
  <si>
    <t>Use data from above, bank B, one customer purchases EUR 5m, another sells EUR 5m</t>
  </si>
  <si>
    <t>Cust#1</t>
  </si>
  <si>
    <t>Cust#2</t>
  </si>
  <si>
    <t>EUR</t>
  </si>
  <si>
    <t>From bank's perspective, cash flows are below</t>
  </si>
  <si>
    <t>spread</t>
  </si>
  <si>
    <t>#9</t>
  </si>
  <si>
    <t>Cross-currency quotes</t>
  </si>
  <si>
    <t>EURJPY</t>
  </si>
  <si>
    <t>HKDJPY</t>
  </si>
  <si>
    <t>Pair</t>
  </si>
  <si>
    <t>Quote</t>
  </si>
  <si>
    <t>#10</t>
  </si>
  <si>
    <t>Amt</t>
  </si>
  <si>
    <t>USD mil</t>
  </si>
  <si>
    <t>t</t>
  </si>
  <si>
    <t>days</t>
  </si>
  <si>
    <t xml:space="preserve">LIBOR  </t>
  </si>
  <si>
    <t>FV</t>
  </si>
  <si>
    <t>Interest</t>
  </si>
  <si>
    <t>Eff rate</t>
  </si>
  <si>
    <t>#11</t>
  </si>
  <si>
    <t>To determine equivalent continous compounded return</t>
  </si>
  <si>
    <t>X</t>
  </si>
  <si>
    <t>#12</t>
  </si>
  <si>
    <t>eff rate</t>
  </si>
  <si>
    <t>LIBOR</t>
  </si>
  <si>
    <t>Lets check the answer</t>
  </si>
  <si>
    <t>#13</t>
  </si>
  <si>
    <t>#14</t>
  </si>
  <si>
    <t>I</t>
  </si>
  <si>
    <t>II</t>
  </si>
  <si>
    <t>?</t>
  </si>
  <si>
    <t>Determine threshold value of LIBOR</t>
  </si>
  <si>
    <t>Int</t>
  </si>
  <si>
    <t>Lets check this answer by calculating FV</t>
  </si>
  <si>
    <t>#15</t>
  </si>
  <si>
    <t>LIBOR +</t>
  </si>
  <si>
    <t>bp</t>
  </si>
  <si>
    <t>1-yr L</t>
  </si>
  <si>
    <t>Year</t>
  </si>
  <si>
    <t>Rate or Exp Rate</t>
  </si>
  <si>
    <t>#16</t>
  </si>
  <si>
    <t>Face</t>
  </si>
  <si>
    <t>EURIBOR +</t>
  </si>
  <si>
    <t>Rate</t>
  </si>
  <si>
    <t>FRN and Expected CF (advanced problem, requires term structure knowledge)</t>
  </si>
  <si>
    <t>#17</t>
  </si>
  <si>
    <t>Ext#1</t>
  </si>
  <si>
    <t>180-day rate</t>
  </si>
  <si>
    <t>Set e^X =1.0555</t>
  </si>
  <si>
    <t>Suppose FV of 1 in 180 days is X</t>
  </si>
  <si>
    <t>This means that X^(365/180)-1=3.8%</t>
  </si>
  <si>
    <t>Solving,</t>
  </si>
  <si>
    <t>Suppose FV of 1 in 270 days is X</t>
  </si>
  <si>
    <t>1-yr LIBOR</t>
  </si>
  <si>
    <t>2-yr LIBOR</t>
  </si>
  <si>
    <t>Currency Conversion:</t>
  </si>
  <si>
    <t>BRL</t>
  </si>
  <si>
    <t>What is BRLUSD?</t>
  </si>
  <si>
    <t>BRLUSD</t>
  </si>
  <si>
    <t>What is USDBRL?</t>
  </si>
  <si>
    <t>USDBRL</t>
  </si>
  <si>
    <t>Currency Conversion (Oriental Mercantile Bank):</t>
  </si>
  <si>
    <t>Currency Conversion (Oriental Mercantile Bank) (continued):</t>
  </si>
  <si>
    <t>Bid-Ask Spread:</t>
  </si>
  <si>
    <t>Comparing Bid-Ask Spreads (Chong Hing Bank):</t>
  </si>
  <si>
    <t>Comparing Bid-Ask Spreads (Chong Hing Bank) (continued):</t>
  </si>
  <si>
    <t>Evaluation of Transaction Costs:</t>
  </si>
  <si>
    <t>Evaluation of Transaction Costs (continued):</t>
  </si>
  <si>
    <t>Transaction Costs and Bank Profits:</t>
  </si>
  <si>
    <t>LIBOR deposit FV and Effective Rate (Microsoft):</t>
  </si>
  <si>
    <t>LIBOR Deposit Effective rate:</t>
  </si>
  <si>
    <t>Inferring LIBOR (Dell):</t>
  </si>
  <si>
    <t>Inferring LIBOR Rate:</t>
  </si>
  <si>
    <t>LIBOR vs.other rates (Waste Mgt):</t>
  </si>
  <si>
    <t>Actual LIBOR rate</t>
  </si>
  <si>
    <t>=215,000 / 395,000</t>
  </si>
  <si>
    <t>=395,000 / 215,000</t>
  </si>
  <si>
    <t>=1.24 - 1.22</t>
  </si>
  <si>
    <t>=0.02 / 1.24</t>
  </si>
  <si>
    <t>=104 - 103</t>
  </si>
  <si>
    <t>=1 /104</t>
  </si>
  <si>
    <t>US firm wishes to obtain SGD 2 million</t>
  </si>
  <si>
    <t>=2,000,000 * 0.7358</t>
  </si>
  <si>
    <t>How mnay USD are required?</t>
  </si>
  <si>
    <t>The firms receives SGD 40,000 from a customer.</t>
  </si>
  <si>
    <t>What is the converted value in USD?</t>
  </si>
  <si>
    <t>What is the bid-ask spread in absolute terms? What is the spread in percentage terms?</t>
  </si>
  <si>
    <t>Calculate the bid-ask spread (absolute and percent) and identify the least and most costly spread.</t>
  </si>
  <si>
    <t>See above table. HKD appears more expensive to trade from Japanese perspective.</t>
  </si>
  <si>
    <t xml:space="preserve">Convert the table in question above into indirect quotes and re-calculate bid-ask spreads (absolute and percent). </t>
  </si>
  <si>
    <t>Note: The bid-ask spread is invariant to the use of direct or indirect quotes.</t>
  </si>
  <si>
    <t>Commission</t>
  </si>
  <si>
    <t>=2,000,000*1.4512 - 250</t>
  </si>
  <si>
    <t>=2,000,000*1.4511 - 100</t>
  </si>
  <si>
    <t>=2,000,000 /0.6891 - 150</t>
  </si>
  <si>
    <t>US MNCs evaluation of alternatives for selling EUR 2 million.</t>
  </si>
  <si>
    <t>Proceeds (USD)</t>
  </si>
  <si>
    <t>Note: proceeds w/o costs =500,000*((1.4512+1.4519)/2)</t>
  </si>
  <si>
    <t>=725,775 - 725,350</t>
  </si>
  <si>
    <t>=425 /725,775</t>
  </si>
  <si>
    <t>What is the profit made by the bank? Breakdown profits into spread and commissions.</t>
  </si>
  <si>
    <t>=2*100</t>
  </si>
  <si>
    <t>Profit = sum of cash flows</t>
  </si>
  <si>
    <t>=-5,000,000*1.4511+100</t>
  </si>
  <si>
    <t>=5,000,000*1.4520+100</t>
  </si>
  <si>
    <t>=108 / 156</t>
  </si>
  <si>
    <t>=108 / 17</t>
  </si>
  <si>
    <t>What is the interest earned by Microsoft? What is FV? What is the effective annual return?</t>
  </si>
  <si>
    <t>=2,000,000*(1+4.20%*(90/360))</t>
  </si>
  <si>
    <t>=2,021,000 - 2,000,000</t>
  </si>
  <si>
    <t>=(2,021,000 / 2,000,000)^(365/90) - 1</t>
  </si>
  <si>
    <t>Calculate the effective annual return. Also calculate the continuously compounded interest rate that will provide an equivalent annual return.</t>
  </si>
  <si>
    <t>What is 180-day LIBOR (actual/360 convention)?</t>
  </si>
  <si>
    <t>Effective  rate</t>
  </si>
  <si>
    <t>=(1+3.8%)^(180/365)</t>
  </si>
  <si>
    <t>=1.01856 - 1</t>
  </si>
  <si>
    <t>Rate (LIBOR)</t>
  </si>
  <si>
    <t>=0.01856 * (360/180)</t>
  </si>
  <si>
    <t>=1+3.71%*(180/360)</t>
  </si>
  <si>
    <t>=(1.01856 / 1)^(365/180) - 1</t>
  </si>
  <si>
    <t>This means that X^(365/270)-1=4.1%</t>
  </si>
  <si>
    <t>=(1+4.1%)^(270/365)</t>
  </si>
  <si>
    <t>=0.03017 * (360/270)</t>
  </si>
  <si>
    <t>=1+4.02%*(270/360)</t>
  </si>
  <si>
    <t>=(1.03017 / 1)^(365/270) - 1</t>
  </si>
  <si>
    <t>Alternative</t>
  </si>
  <si>
    <t>Cont. comp.</t>
  </si>
  <si>
    <t>=20*exp(5%*(180/365))</t>
  </si>
  <si>
    <t>=20.49928 - 20</t>
  </si>
  <si>
    <t>=(0.49928/20)*(360/180)</t>
  </si>
  <si>
    <t>=20*(1+4.99%*(180/360))</t>
  </si>
  <si>
    <t>=40,000 * 0.7352</t>
  </si>
  <si>
    <t>=1.03017 - 1</t>
  </si>
  <si>
    <t>=175,000*4.6%</t>
  </si>
  <si>
    <t>FRN and Expected CF:</t>
  </si>
  <si>
    <t>Effective Rate</t>
  </si>
  <si>
    <t>Expected CF</t>
  </si>
  <si>
    <t>=1,000,000*4.6%</t>
  </si>
  <si>
    <t>=1,000,000*6.369%</t>
  </si>
  <si>
    <t>Assumed LIBOR rate based on proxy</t>
  </si>
  <si>
    <t>=(1+5%)^2 / (1+4%) - 1</t>
  </si>
  <si>
    <t>2nd yr rate</t>
  </si>
  <si>
    <t>Coup. Payment</t>
  </si>
  <si>
    <t>USD 000s</t>
  </si>
  <si>
    <t>Note: This equals 2 billion.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</si>
</sst>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%"/>
    <numFmt numFmtId="166" formatCode="0.00000"/>
    <numFmt numFmtId="167" formatCode="0.0000%"/>
    <numFmt numFmtId="168" formatCode="0.0000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24" borderId="0" xfId="0" applyFont="1" applyFill="1" applyAlignment="1">
      <alignment/>
    </xf>
    <xf numFmtId="168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4" fontId="1" fillId="0" borderId="0" xfId="0" applyNumberFormat="1" applyFont="1" applyAlignment="1">
      <alignment/>
    </xf>
    <xf numFmtId="0" fontId="2" fillId="25" borderId="0" xfId="55" applyFont="1" applyFill="1">
      <alignment/>
      <protection/>
    </xf>
    <xf numFmtId="3" fontId="1" fillId="24" borderId="0" xfId="0" applyNumberFormat="1" applyFont="1" applyFill="1" applyAlignment="1">
      <alignment/>
    </xf>
    <xf numFmtId="165" fontId="1" fillId="24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0" fontId="1" fillId="24" borderId="0" xfId="0" applyNumberFormat="1" applyFont="1" applyFill="1" applyAlignment="1">
      <alignment/>
    </xf>
    <xf numFmtId="166" fontId="1" fillId="24" borderId="0" xfId="0" applyNumberFormat="1" applyFont="1" applyFill="1" applyAlignment="1">
      <alignment/>
    </xf>
    <xf numFmtId="167" fontId="1" fillId="24" borderId="0" xfId="0" applyNumberFormat="1" applyFont="1" applyFill="1" applyAlignment="1">
      <alignment/>
    </xf>
    <xf numFmtId="0" fontId="2" fillId="0" borderId="0" xfId="55" applyFont="1" applyFill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1" customWidth="1"/>
    <col min="2" max="2" width="13.28125" style="1" customWidth="1"/>
    <col min="3" max="3" width="12.00390625" style="1" customWidth="1"/>
    <col min="4" max="5" width="10.8515625" style="1" customWidth="1"/>
    <col min="6" max="6" width="11.57421875" style="1" customWidth="1"/>
    <col min="7" max="7" width="10.140625" style="1" bestFit="1" customWidth="1"/>
    <col min="8" max="8" width="9.28125" style="1" bestFit="1" customWidth="1"/>
    <col min="9" max="16384" width="9.140625" style="1" customWidth="1"/>
  </cols>
  <sheetData>
    <row r="2" spans="1:2" s="11" customFormat="1" ht="15.75">
      <c r="A2" s="11" t="s">
        <v>0</v>
      </c>
      <c r="B2" s="11" t="s">
        <v>94</v>
      </c>
    </row>
    <row r="3" spans="2:3" ht="15.75">
      <c r="B3" s="5">
        <v>215000</v>
      </c>
      <c r="C3" s="1" t="s">
        <v>3</v>
      </c>
    </row>
    <row r="4" spans="2:3" ht="15.75">
      <c r="B4" s="5">
        <v>395000</v>
      </c>
      <c r="C4" s="1" t="s">
        <v>95</v>
      </c>
    </row>
    <row r="5" ht="15.75">
      <c r="B5" s="5" t="s">
        <v>96</v>
      </c>
    </row>
    <row r="6" spans="2:4" ht="15.75">
      <c r="B6" s="5" t="s">
        <v>97</v>
      </c>
      <c r="C6" s="16">
        <f>B3/B4</f>
        <v>0.5443037974683544</v>
      </c>
      <c r="D6" s="9" t="s">
        <v>114</v>
      </c>
    </row>
    <row r="7" spans="2:3" ht="15.75">
      <c r="B7" s="5" t="s">
        <v>98</v>
      </c>
      <c r="C7" s="6"/>
    </row>
    <row r="8" spans="2:4" ht="15.75">
      <c r="B8" s="5" t="s">
        <v>99</v>
      </c>
      <c r="C8" s="16">
        <f>B4/B3</f>
        <v>1.8372093023255813</v>
      </c>
      <c r="D8" s="9" t="s">
        <v>115</v>
      </c>
    </row>
    <row r="10" spans="1:2" s="11" customFormat="1" ht="15.75">
      <c r="A10" s="11" t="s">
        <v>4</v>
      </c>
      <c r="B10" s="11" t="s">
        <v>100</v>
      </c>
    </row>
    <row r="11" spans="3:4" ht="15.75">
      <c r="C11" s="7" t="s">
        <v>10</v>
      </c>
      <c r="D11" s="7" t="s">
        <v>11</v>
      </c>
    </row>
    <row r="12" spans="2:4" ht="15.75">
      <c r="B12" s="1" t="s">
        <v>1</v>
      </c>
      <c r="C12" s="1">
        <v>0.7352</v>
      </c>
      <c r="D12" s="1">
        <v>0.7358</v>
      </c>
    </row>
    <row r="13" ht="15.75">
      <c r="B13" s="1" t="s">
        <v>120</v>
      </c>
    </row>
    <row r="14" spans="2:3" ht="15.75">
      <c r="B14" s="1" t="s">
        <v>2</v>
      </c>
      <c r="C14" s="5">
        <v>2000000</v>
      </c>
    </row>
    <row r="15" spans="2:3" ht="15.75">
      <c r="B15" s="1" t="s">
        <v>122</v>
      </c>
      <c r="C15" s="5"/>
    </row>
    <row r="16" spans="2:4" ht="15.75">
      <c r="B16" s="1" t="s">
        <v>3</v>
      </c>
      <c r="C16" s="12">
        <f>C14*D12</f>
        <v>1471600</v>
      </c>
      <c r="D16" s="9" t="s">
        <v>121</v>
      </c>
    </row>
    <row r="18" spans="1:2" s="11" customFormat="1" ht="15.75">
      <c r="A18" s="11" t="s">
        <v>5</v>
      </c>
      <c r="B18" s="11" t="s">
        <v>101</v>
      </c>
    </row>
    <row r="19" spans="3:4" ht="15.75">
      <c r="C19" s="7" t="s">
        <v>10</v>
      </c>
      <c r="D19" s="7" t="s">
        <v>11</v>
      </c>
    </row>
    <row r="20" spans="2:4" ht="15.75">
      <c r="B20" s="1" t="s">
        <v>1</v>
      </c>
      <c r="C20" s="1">
        <v>0.7352</v>
      </c>
      <c r="D20" s="1">
        <v>0.7358</v>
      </c>
    </row>
    <row r="21" ht="15.75">
      <c r="B21" s="1" t="s">
        <v>123</v>
      </c>
    </row>
    <row r="22" spans="2:3" ht="15.75">
      <c r="B22" s="1" t="s">
        <v>2</v>
      </c>
      <c r="C22" s="5">
        <v>40000</v>
      </c>
    </row>
    <row r="23" spans="2:3" ht="15.75">
      <c r="B23" s="1" t="s">
        <v>124</v>
      </c>
      <c r="C23" s="5"/>
    </row>
    <row r="24" spans="2:4" ht="15.75">
      <c r="B24" s="1" t="s">
        <v>3</v>
      </c>
      <c r="C24" s="12">
        <f>C22*C20</f>
        <v>29408</v>
      </c>
      <c r="D24" s="9" t="s">
        <v>170</v>
      </c>
    </row>
    <row r="26" spans="1:2" s="11" customFormat="1" ht="15.75">
      <c r="A26" s="11" t="s">
        <v>9</v>
      </c>
      <c r="B26" s="11" t="s">
        <v>102</v>
      </c>
    </row>
    <row r="27" spans="3:4" ht="15.75">
      <c r="C27" s="7" t="s">
        <v>10</v>
      </c>
      <c r="D27" s="7" t="s">
        <v>11</v>
      </c>
    </row>
    <row r="28" spans="2:4" ht="15.75">
      <c r="B28" s="1" t="s">
        <v>28</v>
      </c>
      <c r="C28" s="1">
        <v>1.22</v>
      </c>
      <c r="D28" s="1">
        <v>1.24</v>
      </c>
    </row>
    <row r="29" ht="15.75">
      <c r="B29" s="1" t="s">
        <v>125</v>
      </c>
    </row>
    <row r="30" spans="2:4" ht="15.75">
      <c r="B30" s="1" t="s">
        <v>8</v>
      </c>
      <c r="C30" s="3">
        <f>D28-C28</f>
        <v>0.020000000000000018</v>
      </c>
      <c r="D30" s="9" t="s">
        <v>116</v>
      </c>
    </row>
    <row r="31" spans="2:4" ht="15.75">
      <c r="B31" s="1" t="s">
        <v>16</v>
      </c>
      <c r="C31" s="15">
        <f>C30/D28</f>
        <v>0.01612903225806453</v>
      </c>
      <c r="D31" s="9" t="s">
        <v>117</v>
      </c>
    </row>
    <row r="33" spans="1:2" s="11" customFormat="1" ht="15.75">
      <c r="A33" s="11" t="s">
        <v>19</v>
      </c>
      <c r="B33" s="11" t="s">
        <v>6</v>
      </c>
    </row>
    <row r="34" spans="3:4" ht="15.75">
      <c r="C34" s="7" t="s">
        <v>10</v>
      </c>
      <c r="D34" s="7" t="s">
        <v>11</v>
      </c>
    </row>
    <row r="35" spans="2:4" ht="15.75">
      <c r="B35" s="1" t="s">
        <v>7</v>
      </c>
      <c r="C35" s="1">
        <v>103</v>
      </c>
      <c r="D35" s="1">
        <v>104</v>
      </c>
    </row>
    <row r="36" ht="15.75">
      <c r="B36" s="1" t="s">
        <v>125</v>
      </c>
    </row>
    <row r="37" spans="2:4" ht="15.75">
      <c r="B37" s="1" t="s">
        <v>8</v>
      </c>
      <c r="C37" s="3">
        <f>D35-C35</f>
        <v>1</v>
      </c>
      <c r="D37" s="9" t="s">
        <v>118</v>
      </c>
    </row>
    <row r="38" spans="2:4" ht="15.75">
      <c r="B38" s="1" t="s">
        <v>16</v>
      </c>
      <c r="C38" s="17">
        <f>(D35-C35)/D35</f>
        <v>0.009615384615384616</v>
      </c>
      <c r="D38" s="9" t="s">
        <v>119</v>
      </c>
    </row>
    <row r="40" spans="1:2" s="11" customFormat="1" ht="15.75">
      <c r="A40" s="11" t="s">
        <v>24</v>
      </c>
      <c r="B40" s="11" t="s">
        <v>103</v>
      </c>
    </row>
    <row r="41" spans="3:6" ht="15.75">
      <c r="C41" s="7" t="s">
        <v>10</v>
      </c>
      <c r="D41" s="7" t="s">
        <v>11</v>
      </c>
      <c r="E41" s="7" t="s">
        <v>8</v>
      </c>
      <c r="F41" s="7" t="s">
        <v>16</v>
      </c>
    </row>
    <row r="42" spans="2:7" ht="15.75">
      <c r="B42" s="1" t="s">
        <v>12</v>
      </c>
      <c r="C42" s="1">
        <v>7.6211</v>
      </c>
      <c r="D42" s="1">
        <v>7.6219</v>
      </c>
      <c r="E42" s="1">
        <f>D42-C42</f>
        <v>0.0007999999999999119</v>
      </c>
      <c r="F42" s="13">
        <f>E42/D42</f>
        <v>0.00010496070533592829</v>
      </c>
      <c r="G42" s="1" t="s">
        <v>17</v>
      </c>
    </row>
    <row r="43" spans="2:6" ht="15.75">
      <c r="B43" s="1" t="s">
        <v>13</v>
      </c>
      <c r="C43" s="1">
        <v>5.9998</v>
      </c>
      <c r="D43" s="1">
        <v>6.0012</v>
      </c>
      <c r="E43" s="1">
        <f>D43-C43</f>
        <v>0.00140000000000029</v>
      </c>
      <c r="F43" s="14">
        <f>E43/D43</f>
        <v>0.00023328667599818202</v>
      </c>
    </row>
    <row r="44" spans="2:6" ht="15.75">
      <c r="B44" s="1" t="s">
        <v>14</v>
      </c>
      <c r="C44" s="1">
        <v>11.1882</v>
      </c>
      <c r="D44" s="1">
        <v>11.1895</v>
      </c>
      <c r="E44" s="1">
        <f>D44-C44</f>
        <v>0.001300000000000523</v>
      </c>
      <c r="F44" s="14">
        <f>E44/D44</f>
        <v>0.00011618034764739469</v>
      </c>
    </row>
    <row r="45" spans="2:7" ht="15.75">
      <c r="B45" s="1" t="s">
        <v>15</v>
      </c>
      <c r="C45" s="1">
        <v>0.0748</v>
      </c>
      <c r="D45" s="1">
        <v>0.0751</v>
      </c>
      <c r="E45" s="1">
        <f>D45-C45</f>
        <v>0.0002999999999999947</v>
      </c>
      <c r="F45" s="13">
        <f>E45/D45</f>
        <v>0.003994673768308851</v>
      </c>
      <c r="G45" s="1" t="s">
        <v>18</v>
      </c>
    </row>
    <row r="46" spans="2:5" ht="15.75">
      <c r="B46" s="1" t="s">
        <v>126</v>
      </c>
      <c r="C46" s="10"/>
      <c r="D46" s="10"/>
      <c r="E46" s="10"/>
    </row>
    <row r="47" spans="2:6" ht="15.75">
      <c r="B47" s="1" t="s">
        <v>23</v>
      </c>
      <c r="F47" s="14"/>
    </row>
    <row r="49" spans="1:2" s="11" customFormat="1" ht="15.75">
      <c r="A49" s="11" t="s">
        <v>31</v>
      </c>
      <c r="B49" s="11" t="s">
        <v>104</v>
      </c>
    </row>
    <row r="50" s="18" customFormat="1" ht="15.75">
      <c r="B50" s="19" t="s">
        <v>128</v>
      </c>
    </row>
    <row r="51" spans="3:6" ht="15.75">
      <c r="C51" s="1" t="s">
        <v>10</v>
      </c>
      <c r="D51" s="1" t="s">
        <v>11</v>
      </c>
      <c r="E51" s="1" t="s">
        <v>8</v>
      </c>
      <c r="F51" s="1" t="s">
        <v>16</v>
      </c>
    </row>
    <row r="52" spans="2:7" ht="15.75">
      <c r="B52" s="1" t="s">
        <v>20</v>
      </c>
      <c r="C52" s="10">
        <f>1/D42</f>
        <v>0.13120088166992483</v>
      </c>
      <c r="D52" s="10">
        <f>1/C42</f>
        <v>0.13121465405256458</v>
      </c>
      <c r="E52" s="10">
        <f>D52-C52</f>
        <v>1.3772382639748448E-05</v>
      </c>
      <c r="F52" s="13">
        <f>E52/D52</f>
        <v>0.00010496070533578691</v>
      </c>
      <c r="G52" s="1" t="s">
        <v>17</v>
      </c>
    </row>
    <row r="53" spans="2:6" ht="15.75">
      <c r="B53" s="1" t="s">
        <v>21</v>
      </c>
      <c r="C53" s="10">
        <f>1/D43</f>
        <v>0.16663333999866695</v>
      </c>
      <c r="D53" s="10">
        <f>1/C43</f>
        <v>0.16667222240741358</v>
      </c>
      <c r="E53" s="10">
        <f>D53-C53</f>
        <v>3.888240874663773E-05</v>
      </c>
      <c r="F53" s="14">
        <f>E53/D53</f>
        <v>0.00023328667599807704</v>
      </c>
    </row>
    <row r="54" spans="2:6" ht="15.75">
      <c r="B54" s="1" t="s">
        <v>22</v>
      </c>
      <c r="C54" s="10">
        <f>1/D44</f>
        <v>0.08936949819026765</v>
      </c>
      <c r="D54" s="10">
        <f>1/C44</f>
        <v>0.08937988237607479</v>
      </c>
      <c r="E54" s="10">
        <f>D54-C54</f>
        <v>1.0384185807135737E-05</v>
      </c>
      <c r="F54" s="14">
        <f>E54/D54</f>
        <v>0.00011618034764739606</v>
      </c>
    </row>
    <row r="55" spans="2:7" ht="15.75">
      <c r="B55" s="1" t="s">
        <v>46</v>
      </c>
      <c r="C55" s="10">
        <f>1/D45</f>
        <v>13.315579227696405</v>
      </c>
      <c r="D55" s="10">
        <f>1/C45</f>
        <v>13.36898395721925</v>
      </c>
      <c r="E55" s="10">
        <f>D55-C55</f>
        <v>0.05340472952284436</v>
      </c>
      <c r="F55" s="13">
        <f>E55/D55</f>
        <v>0.003994673768308758</v>
      </c>
      <c r="G55" s="1" t="s">
        <v>18</v>
      </c>
    </row>
    <row r="56" spans="2:5" ht="15.75">
      <c r="B56" s="1" t="s">
        <v>126</v>
      </c>
      <c r="C56" s="10"/>
      <c r="D56" s="10"/>
      <c r="E56" s="10"/>
    </row>
    <row r="57" ht="15.75">
      <c r="B57" s="1" t="s">
        <v>127</v>
      </c>
    </row>
    <row r="58" ht="15.75">
      <c r="B58" s="1" t="s">
        <v>129</v>
      </c>
    </row>
    <row r="60" spans="1:2" s="11" customFormat="1" ht="15.75">
      <c r="A60" s="11" t="s">
        <v>36</v>
      </c>
      <c r="B60" s="11" t="s">
        <v>105</v>
      </c>
    </row>
    <row r="61" ht="15.75">
      <c r="B61" s="1" t="s">
        <v>134</v>
      </c>
    </row>
    <row r="62" spans="4:7" ht="15.75">
      <c r="D62" s="7" t="s">
        <v>10</v>
      </c>
      <c r="E62" s="7" t="s">
        <v>11</v>
      </c>
      <c r="F62" s="1" t="s">
        <v>130</v>
      </c>
      <c r="G62" s="1" t="s">
        <v>135</v>
      </c>
    </row>
    <row r="63" spans="2:8" ht="15.75">
      <c r="B63" s="1" t="s">
        <v>25</v>
      </c>
      <c r="C63" s="1" t="s">
        <v>28</v>
      </c>
      <c r="D63" s="4">
        <v>1.4512</v>
      </c>
      <c r="E63" s="4">
        <v>1.4519</v>
      </c>
      <c r="F63" s="1">
        <v>250</v>
      </c>
      <c r="G63" s="5">
        <f>2000000*D63-F63</f>
        <v>2902150</v>
      </c>
      <c r="H63" s="9" t="s">
        <v>131</v>
      </c>
    </row>
    <row r="64" spans="2:8" ht="15.75">
      <c r="B64" s="1" t="s">
        <v>26</v>
      </c>
      <c r="C64" s="1" t="s">
        <v>28</v>
      </c>
      <c r="D64" s="4">
        <v>1.4511</v>
      </c>
      <c r="E64" s="4">
        <v>1.452</v>
      </c>
      <c r="F64" s="1">
        <v>100</v>
      </c>
      <c r="G64" s="5">
        <f>2000000*D64-F64</f>
        <v>2902100</v>
      </c>
      <c r="H64" s="9" t="s">
        <v>132</v>
      </c>
    </row>
    <row r="65" spans="2:8" ht="15.75">
      <c r="B65" s="1" t="s">
        <v>27</v>
      </c>
      <c r="C65" s="1" t="s">
        <v>29</v>
      </c>
      <c r="D65" s="4">
        <v>0.689</v>
      </c>
      <c r="E65" s="4">
        <v>0.6891</v>
      </c>
      <c r="F65" s="1">
        <v>150</v>
      </c>
      <c r="G65" s="12">
        <f>2000000/E65-150</f>
        <v>2902186.380786533</v>
      </c>
      <c r="H65" s="9" t="s">
        <v>133</v>
      </c>
    </row>
    <row r="67" spans="1:2" s="11" customFormat="1" ht="15.75">
      <c r="A67" s="11" t="s">
        <v>43</v>
      </c>
      <c r="B67" s="11" t="s">
        <v>106</v>
      </c>
    </row>
    <row r="68" ht="15.75">
      <c r="B68" s="1" t="s">
        <v>32</v>
      </c>
    </row>
    <row r="69" spans="4:8" ht="15.75">
      <c r="D69" s="7" t="s">
        <v>10</v>
      </c>
      <c r="E69" s="7" t="s">
        <v>11</v>
      </c>
      <c r="F69" s="1" t="s">
        <v>130</v>
      </c>
      <c r="G69" s="1" t="s">
        <v>30</v>
      </c>
      <c r="H69" s="1" t="s">
        <v>33</v>
      </c>
    </row>
    <row r="70" spans="2:8" ht="15.75">
      <c r="B70" s="1" t="s">
        <v>25</v>
      </c>
      <c r="C70" s="1" t="s">
        <v>28</v>
      </c>
      <c r="D70" s="1">
        <v>1.4512</v>
      </c>
      <c r="E70" s="1">
        <v>1.4519</v>
      </c>
      <c r="F70" s="1">
        <v>250</v>
      </c>
      <c r="G70" s="5">
        <f>500000*D70-F70</f>
        <v>725350</v>
      </c>
      <c r="H70" s="5">
        <f>500000*AVERAGE(D70:E70)</f>
        <v>725775.0000000001</v>
      </c>
    </row>
    <row r="71" spans="2:8" ht="15.75">
      <c r="B71" s="1" t="s">
        <v>136</v>
      </c>
      <c r="G71" s="5"/>
      <c r="H71" s="5"/>
    </row>
    <row r="72" spans="2:4" ht="15.75">
      <c r="B72" s="1" t="s">
        <v>34</v>
      </c>
      <c r="C72" s="3">
        <f>H70-G70</f>
        <v>425.0000000001164</v>
      </c>
      <c r="D72" s="9" t="s">
        <v>137</v>
      </c>
    </row>
    <row r="73" spans="2:4" ht="15.75">
      <c r="B73" s="1" t="s">
        <v>35</v>
      </c>
      <c r="C73" s="13">
        <f>C72/H70</f>
        <v>0.0005855809307293808</v>
      </c>
      <c r="D73" s="9" t="s">
        <v>138</v>
      </c>
    </row>
    <row r="75" spans="1:2" s="11" customFormat="1" ht="15.75">
      <c r="A75" s="11" t="s">
        <v>49</v>
      </c>
      <c r="B75" s="11" t="s">
        <v>107</v>
      </c>
    </row>
    <row r="76" ht="15.75">
      <c r="B76" s="1" t="s">
        <v>37</v>
      </c>
    </row>
    <row r="77" spans="4:6" ht="15.75">
      <c r="D77" s="7" t="s">
        <v>10</v>
      </c>
      <c r="E77" s="7" t="s">
        <v>11</v>
      </c>
      <c r="F77" s="1" t="s">
        <v>130</v>
      </c>
    </row>
    <row r="78" spans="2:7" ht="15.75">
      <c r="B78" s="1" t="s">
        <v>26</v>
      </c>
      <c r="C78" s="1" t="s">
        <v>28</v>
      </c>
      <c r="D78" s="4">
        <v>1.4511</v>
      </c>
      <c r="E78" s="4">
        <v>1.452</v>
      </c>
      <c r="F78" s="1">
        <v>100</v>
      </c>
      <c r="G78" s="5"/>
    </row>
    <row r="79" spans="2:7" ht="15.75">
      <c r="B79" s="1" t="s">
        <v>139</v>
      </c>
      <c r="G79" s="5"/>
    </row>
    <row r="80" ht="15.75">
      <c r="B80" s="1" t="s">
        <v>41</v>
      </c>
    </row>
    <row r="81" spans="2:7" ht="15.75">
      <c r="B81" s="1" t="s">
        <v>39</v>
      </c>
      <c r="C81" s="1" t="s">
        <v>40</v>
      </c>
      <c r="D81" s="5">
        <v>5000000</v>
      </c>
      <c r="E81" s="1" t="s">
        <v>3</v>
      </c>
      <c r="F81" s="5">
        <f>-D81*D78+F78</f>
        <v>-7255400</v>
      </c>
      <c r="G81" s="9" t="s">
        <v>142</v>
      </c>
    </row>
    <row r="82" spans="2:7" ht="15.75">
      <c r="B82" s="1" t="s">
        <v>38</v>
      </c>
      <c r="C82" s="1" t="s">
        <v>40</v>
      </c>
      <c r="D82" s="5">
        <v>-5000000</v>
      </c>
      <c r="E82" s="1" t="s">
        <v>3</v>
      </c>
      <c r="F82" s="5">
        <f>-D82*E78+F78</f>
        <v>7260100</v>
      </c>
      <c r="G82" s="9" t="s">
        <v>143</v>
      </c>
    </row>
    <row r="83" spans="2:6" ht="15.75">
      <c r="B83" s="1" t="s">
        <v>141</v>
      </c>
      <c r="F83" s="12">
        <f>F81+F82</f>
        <v>4700</v>
      </c>
    </row>
    <row r="84" spans="2:7" ht="15.75">
      <c r="B84" s="1" t="s">
        <v>130</v>
      </c>
      <c r="F84" s="12">
        <f>2*F78</f>
        <v>200</v>
      </c>
      <c r="G84" s="9" t="s">
        <v>140</v>
      </c>
    </row>
    <row r="85" spans="2:6" ht="15.75">
      <c r="B85" s="1" t="s">
        <v>42</v>
      </c>
      <c r="F85" s="12">
        <f>F83-F84</f>
        <v>4500</v>
      </c>
    </row>
    <row r="87" spans="1:2" s="11" customFormat="1" ht="15.75">
      <c r="A87" s="11" t="s">
        <v>58</v>
      </c>
      <c r="B87" s="11" t="s">
        <v>44</v>
      </c>
    </row>
    <row r="88" spans="2:3" ht="15.75">
      <c r="B88" s="1" t="s">
        <v>47</v>
      </c>
      <c r="C88" s="7" t="s">
        <v>48</v>
      </c>
    </row>
    <row r="89" spans="2:3" ht="15.75">
      <c r="B89" s="1" t="s">
        <v>7</v>
      </c>
      <c r="C89" s="1">
        <v>108</v>
      </c>
    </row>
    <row r="90" spans="2:3" ht="15.75">
      <c r="B90" s="1" t="s">
        <v>45</v>
      </c>
      <c r="C90" s="1">
        <v>156</v>
      </c>
    </row>
    <row r="91" spans="2:3" ht="15.75">
      <c r="B91" s="1" t="s">
        <v>46</v>
      </c>
      <c r="C91" s="1">
        <v>17</v>
      </c>
    </row>
    <row r="92" spans="2:4" ht="15.75">
      <c r="B92" s="1" t="s">
        <v>29</v>
      </c>
      <c r="C92" s="16">
        <f>C89/C90</f>
        <v>0.6923076923076923</v>
      </c>
      <c r="D92" s="9" t="s">
        <v>144</v>
      </c>
    </row>
    <row r="93" spans="2:4" ht="15.75">
      <c r="B93" s="1" t="s">
        <v>12</v>
      </c>
      <c r="C93" s="16">
        <f>C89/C91</f>
        <v>6.352941176470588</v>
      </c>
      <c r="D93" s="9" t="s">
        <v>145</v>
      </c>
    </row>
    <row r="95" spans="1:2" s="11" customFormat="1" ht="15.75">
      <c r="A95" s="11" t="s">
        <v>61</v>
      </c>
      <c r="B95" s="11" t="s">
        <v>108</v>
      </c>
    </row>
    <row r="96" spans="2:5" ht="15.75">
      <c r="B96" s="1" t="s">
        <v>50</v>
      </c>
      <c r="C96" s="5">
        <v>2000000</v>
      </c>
      <c r="D96" s="1" t="s">
        <v>182</v>
      </c>
      <c r="E96" s="1" t="s">
        <v>183</v>
      </c>
    </row>
    <row r="97" spans="2:4" ht="15.75">
      <c r="B97" s="1" t="s">
        <v>52</v>
      </c>
      <c r="C97" s="1">
        <v>90</v>
      </c>
      <c r="D97" s="1" t="s">
        <v>53</v>
      </c>
    </row>
    <row r="98" spans="2:3" ht="15.75">
      <c r="B98" s="1" t="s">
        <v>54</v>
      </c>
      <c r="C98" s="8">
        <v>0.042</v>
      </c>
    </row>
    <row r="99" spans="2:3" ht="15.75">
      <c r="B99" s="1" t="s">
        <v>146</v>
      </c>
      <c r="C99" s="8"/>
    </row>
    <row r="100" spans="2:4" ht="15.75">
      <c r="B100" s="1" t="s">
        <v>55</v>
      </c>
      <c r="C100" s="12">
        <f>C96*(1+C98*(90/360))</f>
        <v>2021000</v>
      </c>
      <c r="D100" s="9" t="s">
        <v>147</v>
      </c>
    </row>
    <row r="101" spans="2:4" ht="15.75">
      <c r="B101" s="1" t="s">
        <v>56</v>
      </c>
      <c r="C101" s="12">
        <f>C100-C96</f>
        <v>21000</v>
      </c>
      <c r="D101" s="9" t="s">
        <v>148</v>
      </c>
    </row>
    <row r="102" spans="2:4" ht="15.75">
      <c r="B102" s="1" t="s">
        <v>57</v>
      </c>
      <c r="C102" s="15">
        <f>(C100/C96)^(365/90)-1</f>
        <v>0.04327136917124763</v>
      </c>
      <c r="D102" s="9" t="s">
        <v>149</v>
      </c>
    </row>
    <row r="104" spans="1:2" s="11" customFormat="1" ht="15.75">
      <c r="A104" s="11" t="s">
        <v>65</v>
      </c>
      <c r="B104" s="11" t="s">
        <v>109</v>
      </c>
    </row>
    <row r="105" spans="2:4" ht="15.75">
      <c r="B105" s="1" t="s">
        <v>54</v>
      </c>
      <c r="C105" s="8">
        <v>0.054</v>
      </c>
      <c r="D105" s="1" t="s">
        <v>86</v>
      </c>
    </row>
    <row r="106" spans="2:3" ht="15.75">
      <c r="B106" s="1" t="s">
        <v>150</v>
      </c>
      <c r="C106" s="8"/>
    </row>
    <row r="107" spans="2:3" ht="15.75">
      <c r="B107" s="1" t="s">
        <v>55</v>
      </c>
      <c r="C107" s="1">
        <f>1*(1+C105*(180/360))</f>
        <v>1.027</v>
      </c>
    </row>
    <row r="108" spans="2:3" ht="15.75">
      <c r="B108" s="1" t="s">
        <v>57</v>
      </c>
      <c r="C108" s="15">
        <f>(C107/1)^(365/180)-1</f>
        <v>0.05550984493084954</v>
      </c>
    </row>
    <row r="109" ht="15.75">
      <c r="B109" s="1" t="s">
        <v>59</v>
      </c>
    </row>
    <row r="110" ht="15.75">
      <c r="B110" s="1" t="s">
        <v>87</v>
      </c>
    </row>
    <row r="111" spans="2:3" ht="15.75">
      <c r="B111" s="1" t="s">
        <v>60</v>
      </c>
      <c r="C111" s="15">
        <f>LN(1.0555)</f>
        <v>0.05401458830623835</v>
      </c>
    </row>
    <row r="113" spans="1:2" s="11" customFormat="1" ht="15.75">
      <c r="A113" s="11" t="s">
        <v>66</v>
      </c>
      <c r="B113" s="11" t="s">
        <v>110</v>
      </c>
    </row>
    <row r="114" spans="2:3" ht="15.75">
      <c r="B114" s="1" t="s">
        <v>52</v>
      </c>
      <c r="C114" s="1">
        <v>180</v>
      </c>
    </row>
    <row r="115" spans="2:3" ht="15.75">
      <c r="B115" s="1" t="s">
        <v>152</v>
      </c>
      <c r="C115" s="8">
        <v>0.038</v>
      </c>
    </row>
    <row r="116" spans="2:3" ht="15.75">
      <c r="B116" s="1" t="s">
        <v>151</v>
      </c>
      <c r="C116" s="8"/>
    </row>
    <row r="117" spans="2:3" ht="15.75">
      <c r="B117" s="1" t="s">
        <v>88</v>
      </c>
      <c r="C117" s="8"/>
    </row>
    <row r="118" spans="2:3" ht="15.75">
      <c r="B118" s="1" t="s">
        <v>89</v>
      </c>
      <c r="C118" s="8"/>
    </row>
    <row r="119" spans="2:3" ht="15.75">
      <c r="B119" s="1" t="s">
        <v>90</v>
      </c>
      <c r="C119" s="8"/>
    </row>
    <row r="120" spans="2:4" ht="15.75">
      <c r="B120" s="1" t="s">
        <v>60</v>
      </c>
      <c r="C120" s="6">
        <f>1.038^(180/365)</f>
        <v>1.01856262450638</v>
      </c>
      <c r="D120" s="9" t="s">
        <v>153</v>
      </c>
    </row>
    <row r="121" spans="2:4" ht="15.75">
      <c r="B121" s="1" t="s">
        <v>56</v>
      </c>
      <c r="C121" s="6">
        <f>C120-1</f>
        <v>0.01856262450637991</v>
      </c>
      <c r="D121" s="9" t="s">
        <v>154</v>
      </c>
    </row>
    <row r="122" spans="2:4" ht="15.75">
      <c r="B122" s="1" t="s">
        <v>155</v>
      </c>
      <c r="C122" s="15">
        <f>C121*(360/180)</f>
        <v>0.03712524901275982</v>
      </c>
      <c r="D122" s="9" t="s">
        <v>156</v>
      </c>
    </row>
    <row r="123" ht="15.75">
      <c r="B123" s="1" t="s">
        <v>64</v>
      </c>
    </row>
    <row r="124" spans="2:4" ht="15.75">
      <c r="B124" s="1" t="s">
        <v>55</v>
      </c>
      <c r="C124" s="6">
        <f>1+C122*(180/360)</f>
        <v>1.01856262450638</v>
      </c>
      <c r="D124" s="9" t="s">
        <v>157</v>
      </c>
    </row>
    <row r="125" spans="2:4" ht="15.75">
      <c r="B125" s="1" t="s">
        <v>62</v>
      </c>
      <c r="C125" s="8">
        <f>C124^(365/180)-1</f>
        <v>0.03799999999999981</v>
      </c>
      <c r="D125" s="9" t="s">
        <v>158</v>
      </c>
    </row>
    <row r="127" spans="1:2" s="11" customFormat="1" ht="15.75">
      <c r="A127" s="11" t="s">
        <v>73</v>
      </c>
      <c r="B127" s="11" t="s">
        <v>111</v>
      </c>
    </row>
    <row r="128" spans="2:3" ht="15.75">
      <c r="B128" s="1" t="s">
        <v>52</v>
      </c>
      <c r="C128" s="1">
        <v>270</v>
      </c>
    </row>
    <row r="129" spans="2:3" ht="15.75">
      <c r="B129" s="1" t="s">
        <v>174</v>
      </c>
      <c r="C129" s="8">
        <v>0.041</v>
      </c>
    </row>
    <row r="130" spans="2:3" ht="15.75">
      <c r="B130" s="1" t="s">
        <v>91</v>
      </c>
      <c r="C130" s="8"/>
    </row>
    <row r="131" spans="2:3" ht="15.75">
      <c r="B131" s="1" t="s">
        <v>159</v>
      </c>
      <c r="C131" s="8"/>
    </row>
    <row r="132" spans="2:3" ht="15.75">
      <c r="B132" s="1" t="s">
        <v>90</v>
      </c>
      <c r="C132" s="8"/>
    </row>
    <row r="133" spans="2:4" ht="15.75">
      <c r="B133" s="1" t="s">
        <v>60</v>
      </c>
      <c r="C133" s="6">
        <f>(1+C129)^(270/365)</f>
        <v>1.0301696687515536</v>
      </c>
      <c r="D133" s="9" t="s">
        <v>160</v>
      </c>
    </row>
    <row r="134" spans="2:4" ht="15.75">
      <c r="B134" s="1" t="s">
        <v>56</v>
      </c>
      <c r="C134" s="6">
        <f>C133-1</f>
        <v>0.03016966875155358</v>
      </c>
      <c r="D134" s="9" t="s">
        <v>171</v>
      </c>
    </row>
    <row r="135" spans="2:4" ht="15.75">
      <c r="B135" s="1" t="s">
        <v>155</v>
      </c>
      <c r="C135" s="15">
        <f>C134*(360/C128)</f>
        <v>0.04022622500207144</v>
      </c>
      <c r="D135" s="9" t="s">
        <v>161</v>
      </c>
    </row>
    <row r="136" ht="15.75">
      <c r="B136" s="1" t="s">
        <v>64</v>
      </c>
    </row>
    <row r="137" spans="2:4" ht="15.75">
      <c r="B137" s="1" t="s">
        <v>55</v>
      </c>
      <c r="C137" s="6">
        <f>1+C135*(270/360)</f>
        <v>1.0301696687515536</v>
      </c>
      <c r="D137" s="9" t="s">
        <v>162</v>
      </c>
    </row>
    <row r="138" spans="2:4" ht="15.75">
      <c r="B138" s="1" t="s">
        <v>174</v>
      </c>
      <c r="C138" s="8">
        <f>C137^(365/270)-1</f>
        <v>0.04100000000000015</v>
      </c>
      <c r="D138" s="9" t="s">
        <v>163</v>
      </c>
    </row>
    <row r="141" spans="1:2" s="11" customFormat="1" ht="15.75">
      <c r="A141" s="11" t="s">
        <v>79</v>
      </c>
      <c r="B141" s="11" t="s">
        <v>112</v>
      </c>
    </row>
    <row r="142" spans="2:4" ht="15.75">
      <c r="B142" s="1" t="s">
        <v>50</v>
      </c>
      <c r="C142" s="1">
        <v>20</v>
      </c>
      <c r="D142" s="1" t="s">
        <v>51</v>
      </c>
    </row>
    <row r="143" spans="2:4" ht="15.75">
      <c r="B143" s="1" t="s">
        <v>52</v>
      </c>
      <c r="C143" s="1">
        <v>180</v>
      </c>
      <c r="D143" s="1" t="s">
        <v>53</v>
      </c>
    </row>
    <row r="144" spans="2:5" ht="15.75">
      <c r="B144" s="20" t="s">
        <v>164</v>
      </c>
      <c r="E144" s="1" t="s">
        <v>55</v>
      </c>
    </row>
    <row r="145" spans="2:6" ht="15.75">
      <c r="B145" s="20" t="s">
        <v>67</v>
      </c>
      <c r="C145" s="1" t="s">
        <v>165</v>
      </c>
      <c r="D145" s="2">
        <v>0.05</v>
      </c>
      <c r="E145" s="1">
        <f>C142*EXP(D145*(C143/365))</f>
        <v>20.499280906564557</v>
      </c>
      <c r="F145" s="9" t="s">
        <v>166</v>
      </c>
    </row>
    <row r="146" spans="2:5" ht="15.75">
      <c r="B146" s="20" t="s">
        <v>68</v>
      </c>
      <c r="C146" s="1" t="s">
        <v>63</v>
      </c>
      <c r="D146" s="7" t="s">
        <v>69</v>
      </c>
      <c r="E146" s="1">
        <f>E145</f>
        <v>20.499280906564557</v>
      </c>
    </row>
    <row r="147" ht="15.75">
      <c r="B147" s="1" t="s">
        <v>70</v>
      </c>
    </row>
    <row r="148" spans="2:4" ht="15.75">
      <c r="B148" s="1" t="s">
        <v>71</v>
      </c>
      <c r="C148" s="6">
        <f>E146-C142</f>
        <v>0.49928090656455737</v>
      </c>
      <c r="D148" s="9" t="s">
        <v>167</v>
      </c>
    </row>
    <row r="149" spans="2:4" ht="15.75">
      <c r="B149" s="1" t="s">
        <v>54</v>
      </c>
      <c r="C149" s="15">
        <f>C148/C142*(360/C143)</f>
        <v>0.04992809065645574</v>
      </c>
      <c r="D149" s="9" t="s">
        <v>168</v>
      </c>
    </row>
    <row r="150" ht="15.75">
      <c r="B150" s="1" t="s">
        <v>72</v>
      </c>
    </row>
    <row r="151" spans="2:4" ht="15.75">
      <c r="B151" s="1" t="s">
        <v>55</v>
      </c>
      <c r="C151" s="6">
        <f>C142*(1+C149*(C143/360))</f>
        <v>20.499280906564557</v>
      </c>
      <c r="D151" s="9" t="s">
        <v>169</v>
      </c>
    </row>
    <row r="153" spans="1:2" s="11" customFormat="1" ht="15.75">
      <c r="A153" s="11" t="s">
        <v>84</v>
      </c>
      <c r="B153" s="11" t="s">
        <v>173</v>
      </c>
    </row>
    <row r="154" spans="2:4" ht="15.75">
      <c r="B154" s="1" t="s">
        <v>74</v>
      </c>
      <c r="C154" s="1">
        <v>40</v>
      </c>
      <c r="D154" s="1" t="s">
        <v>75</v>
      </c>
    </row>
    <row r="155" spans="2:3" ht="15.75">
      <c r="B155" s="1" t="s">
        <v>76</v>
      </c>
      <c r="C155" s="8">
        <v>0.042</v>
      </c>
    </row>
    <row r="156" spans="2:3" ht="15.75">
      <c r="B156" s="1" t="s">
        <v>77</v>
      </c>
      <c r="C156" s="1" t="s">
        <v>78</v>
      </c>
    </row>
    <row r="157" spans="2:3" ht="15.75">
      <c r="B157" s="1">
        <v>1</v>
      </c>
      <c r="C157" s="8">
        <f>C155+0.4%</f>
        <v>0.046</v>
      </c>
    </row>
    <row r="158" spans="2:3" ht="15.75">
      <c r="B158" s="1" t="s">
        <v>80</v>
      </c>
      <c r="C158" s="5">
        <v>175000</v>
      </c>
    </row>
    <row r="159" spans="2:4" ht="15.75">
      <c r="B159" s="1" t="s">
        <v>175</v>
      </c>
      <c r="C159" s="12">
        <f>C158*C157</f>
        <v>8050</v>
      </c>
      <c r="D159" s="9" t="s">
        <v>172</v>
      </c>
    </row>
    <row r="161" spans="1:2" s="11" customFormat="1" ht="15.75">
      <c r="A161" s="11" t="s">
        <v>85</v>
      </c>
      <c r="B161" s="11" t="s">
        <v>83</v>
      </c>
    </row>
    <row r="162" spans="2:4" ht="15.75">
      <c r="B162" s="1" t="s">
        <v>80</v>
      </c>
      <c r="C162" s="5">
        <v>1000000</v>
      </c>
      <c r="D162" s="1" t="s">
        <v>3</v>
      </c>
    </row>
    <row r="163" spans="2:4" ht="15.75">
      <c r="B163" s="1" t="s">
        <v>81</v>
      </c>
      <c r="C163" s="1">
        <v>60</v>
      </c>
      <c r="D163" s="1" t="s">
        <v>75</v>
      </c>
    </row>
    <row r="164" spans="2:4" ht="15.75">
      <c r="B164" s="1" t="s">
        <v>92</v>
      </c>
      <c r="C164" s="8">
        <v>0.04</v>
      </c>
      <c r="D164" s="1" t="s">
        <v>113</v>
      </c>
    </row>
    <row r="165" spans="2:4" ht="15.75">
      <c r="B165" s="1" t="s">
        <v>93</v>
      </c>
      <c r="C165" s="8">
        <v>0.05</v>
      </c>
      <c r="D165" s="1" t="s">
        <v>178</v>
      </c>
    </row>
    <row r="166" spans="2:4" ht="15.75">
      <c r="B166" s="1" t="s">
        <v>180</v>
      </c>
      <c r="C166" s="14">
        <f>((1+C165*2)/(1+C164))-1</f>
        <v>0.05769230769230771</v>
      </c>
      <c r="D166" s="9" t="s">
        <v>179</v>
      </c>
    </row>
    <row r="168" spans="2:4" ht="15.75">
      <c r="B168" s="1" t="s">
        <v>77</v>
      </c>
      <c r="C168" s="1" t="s">
        <v>82</v>
      </c>
      <c r="D168" s="1" t="s">
        <v>181</v>
      </c>
    </row>
    <row r="169" spans="2:5" ht="15.75">
      <c r="B169" s="1">
        <v>1</v>
      </c>
      <c r="C169" s="14">
        <f>C164+0.6%</f>
        <v>0.046</v>
      </c>
      <c r="D169" s="12">
        <f>$C$162*C169</f>
        <v>46000</v>
      </c>
      <c r="E169" s="9" t="s">
        <v>176</v>
      </c>
    </row>
    <row r="170" spans="2:5" ht="15.75">
      <c r="B170" s="1">
        <v>2</v>
      </c>
      <c r="C170" s="14">
        <f>C166+0.6%</f>
        <v>0.06369230769230771</v>
      </c>
      <c r="D170" s="12">
        <f>$C$162*C170</f>
        <v>63692.30769230772</v>
      </c>
      <c r="E170" s="9" t="s">
        <v>177</v>
      </c>
    </row>
    <row r="171" spans="3:4" ht="15.75">
      <c r="C171" s="8"/>
      <c r="D17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2010-03-03T15:25:37Z</dcterms:modified>
  <cp:category/>
  <cp:version/>
  <cp:contentType/>
  <cp:contentStatus/>
</cp:coreProperties>
</file>